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000" windowHeight="9540"/>
  </bookViews>
  <sheets>
    <sheet name="Model" sheetId="1" r:id="rId1"/>
  </sheets>
  <definedNames>
    <definedName name="מס_כנסים_מקומיים">Model!$G$38</definedName>
    <definedName name="מס_משתתפים_בכנס_בניל">Model!$D$38</definedName>
    <definedName name="סהכ_מנהיגים_בסיור_בארץ">Model!$D$53</definedName>
    <definedName name="סהכ_עלות_הסיורים">Model!$C$55</definedName>
    <definedName name="סהכ_עלות_כנסים">Model!$C$41</definedName>
    <definedName name="סהכ_פיתוח_תוכן_והכשרות">Model!$C$67</definedName>
    <definedName name="סהכ_קהילות">Model!$C$22</definedName>
    <definedName name="עלות_כנס_בינל_לאדם">Model!$K$32</definedName>
    <definedName name="עלות_כנס_מקומי">Model!$O$32</definedName>
    <definedName name="עלות_סיור_בארץ_לאדם">Model!$K$48</definedName>
    <definedName name="עלות_קהילה">Model!$C$24</definedName>
    <definedName name="עלות_קהילות_ל3_שנים">Model!$C$25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C77" i="1"/>
  <c r="E75" i="1"/>
  <c r="D75" i="1"/>
  <c r="C75" i="1"/>
  <c r="E73" i="1"/>
  <c r="D73" i="1"/>
  <c r="C73" i="1"/>
  <c r="E72" i="1"/>
  <c r="D72" i="1"/>
  <c r="C72" i="1"/>
  <c r="E71" i="1"/>
  <c r="D71" i="1"/>
  <c r="C71" i="1"/>
  <c r="C63" i="1"/>
  <c r="C66" i="1"/>
  <c r="D66" i="1"/>
  <c r="E63" i="1"/>
  <c r="E66" i="1"/>
  <c r="F65" i="1"/>
  <c r="F63" i="1"/>
  <c r="F66" i="1"/>
  <c r="C67" i="1"/>
  <c r="D7" i="1"/>
  <c r="K46" i="1"/>
  <c r="K47" i="1"/>
  <c r="K48" i="1"/>
  <c r="C54" i="1"/>
  <c r="D53" i="1"/>
  <c r="C55" i="1"/>
  <c r="D6" i="1"/>
  <c r="D35" i="1"/>
  <c r="D38" i="1"/>
  <c r="K29" i="1"/>
  <c r="K32" i="1"/>
  <c r="C39" i="1"/>
  <c r="C40" i="1"/>
  <c r="E39" i="1"/>
  <c r="E38" i="1"/>
  <c r="E40" i="1"/>
  <c r="F39" i="1"/>
  <c r="F38" i="1"/>
  <c r="F40" i="1"/>
  <c r="G38" i="1"/>
  <c r="O29" i="1"/>
  <c r="O30" i="1"/>
  <c r="O32" i="1"/>
  <c r="G39" i="1"/>
  <c r="G40" i="1"/>
  <c r="C41" i="1"/>
  <c r="D5" i="1"/>
  <c r="K12" i="1"/>
  <c r="K13" i="1"/>
  <c r="K15" i="1"/>
  <c r="K16" i="1"/>
  <c r="C24" i="1"/>
  <c r="C22" i="1"/>
  <c r="C25" i="1"/>
  <c r="D4" i="1"/>
  <c r="H35" i="1"/>
  <c r="H36" i="1"/>
  <c r="H37" i="1"/>
  <c r="H38" i="1"/>
  <c r="D63" i="1"/>
  <c r="D8" i="1"/>
  <c r="G4" i="1"/>
  <c r="G5" i="1"/>
  <c r="G6" i="1"/>
  <c r="G7" i="1"/>
  <c r="G8" i="1"/>
  <c r="P30" i="1"/>
  <c r="P31" i="1"/>
  <c r="P29" i="1"/>
  <c r="P32" i="1"/>
  <c r="E53" i="1"/>
  <c r="C53" i="1"/>
  <c r="L45" i="1"/>
  <c r="L46" i="1"/>
  <c r="L47" i="1"/>
  <c r="L48" i="1"/>
  <c r="C38" i="1"/>
  <c r="L29" i="1"/>
  <c r="L30" i="1"/>
  <c r="L31" i="1"/>
  <c r="L32" i="1"/>
  <c r="D19" i="1"/>
  <c r="D20" i="1"/>
  <c r="D21" i="1"/>
  <c r="D22" i="1"/>
  <c r="E19" i="1"/>
  <c r="E20" i="1"/>
  <c r="E21" i="1"/>
  <c r="E22" i="1"/>
  <c r="G22" i="1"/>
  <c r="C23" i="1"/>
  <c r="G21" i="1"/>
  <c r="G20" i="1"/>
  <c r="G19" i="1"/>
  <c r="L12" i="1"/>
  <c r="L13" i="1"/>
  <c r="L14" i="1"/>
  <c r="L15" i="1"/>
  <c r="L16" i="1"/>
</calcChain>
</file>

<file path=xl/comments1.xml><?xml version="1.0" encoding="utf-8"?>
<comments xmlns="http://schemas.openxmlformats.org/spreadsheetml/2006/main">
  <authors>
    <author>win</author>
    <author>רוני זבורוף</author>
  </authors>
  <commentList>
    <comment ref="K12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$500 per month, including travel costs
ל- 3 שנים</t>
        </r>
      </text>
    </comment>
    <comment ref="K13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40 Shabbat events * $200 per event = $8,000
10 Holiday events * $300 per event = $3,000
Annual retreat (30 participants * $200) = $6,000
total: $17,000</t>
        </r>
      </text>
    </comment>
    <comment ref="K14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Website
Facebook
Twitter
YouTube
Media coverage</t>
        </r>
      </text>
    </comment>
    <comment ref="K1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Professional workshop and speakers
$500 per workshop/speaker</t>
        </r>
      </text>
    </comment>
    <comment ref="J27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כנס בינלאומי, יהיה כנס אחד בשנה.
המימון הוא ל- 3 כנסים</t>
        </r>
      </text>
    </comment>
    <comment ref="N27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כנסים מקומיים:
3 בשנה ראשונה
8 בשנה שנייה
11 בשנה שלישית</t>
        </r>
      </text>
    </comment>
    <comment ref="K29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$500 = $180 per night * 3 nights (including meals)
בוצע עיגול ל- 500$ לכן הפחתתי 40 $ מהסה"כ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$2,500 = $100 per participant * 25 participants (space rent, meals)
</t>
        </r>
      </text>
    </comment>
    <comment ref="K30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Speakers
Accessories
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$1,000 = $100 * 10 travel stipends for participants traveling outside the area</t>
        </r>
      </text>
    </comment>
    <comment ref="K31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עלות שיווק הכנס לאדם</t>
        </r>
      </text>
    </comment>
    <comment ref="O31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עלות שיוק הכנס לכל הכנס</t>
        </r>
      </text>
    </comment>
    <comment ref="K32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כל העלויות הן עלות לאדם לכנס בודד</t>
        </r>
      </text>
    </comment>
    <comment ref="O32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סה"כ עלויות לכנס מקומי (לכלל המשתתפים)</t>
        </r>
      </text>
    </comment>
    <comment ref="L34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הערכת עלות ממוצעת לעלות כרטיס טיסה מהחוף המערבי לחוץ המזרחי בו מתרחש הכנס</t>
        </r>
      </text>
    </comment>
    <comment ref="L35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הערכת עלות ממוצעת לעלות כרטיס טיסה מכלל העולם מחוץ לארה"ב לחוץ המזרחי בו מתרחש הכנס</t>
        </r>
      </text>
    </comment>
    <comment ref="K4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Average cost for travel per person</t>
        </r>
      </text>
    </comment>
    <comment ref="K46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$800 = $100 per day per participant, including lodging, ground travel and meals</t>
        </r>
      </text>
    </comment>
    <comment ref="K47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$400 = $50 per participant per day
includes: guide, accessories, site visits</t>
        </r>
      </text>
    </comment>
    <comment ref="C59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Content items (i. e. essays, workshops, guides)</t>
        </r>
      </text>
    </comment>
    <comment ref="F59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Training courses for mentors 
</t>
        </r>
      </text>
    </comment>
    <comment ref="D64" authorId="1">
      <text>
        <r>
          <rPr>
            <b/>
            <sz val="9"/>
            <color indexed="81"/>
            <rFont val="Tahoma"/>
            <family val="2"/>
          </rPr>
          <t>רוני זבורוף:</t>
        </r>
        <r>
          <rPr>
            <sz val="9"/>
            <color indexed="81"/>
            <rFont val="Tahoma"/>
            <family val="2"/>
          </rPr>
          <t xml:space="preserve">
Construction cost = $30,000</t>
        </r>
      </text>
    </comment>
    <comment ref="C6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20 hours of writing * $40 per hour = $800
Translation = $100
Research  = $100 (paid academic articles, copyrightes materials)</t>
        </r>
      </text>
    </comment>
    <comment ref="D6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Maintenance cost = $15,000 annualy</t>
        </r>
      </text>
    </comment>
    <comment ref="E6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Technical infrastructure = $50
Marketing = $100
Speaker = $250</t>
        </r>
      </text>
    </comment>
    <comment ref="F65" authorId="0">
      <text>
        <r>
          <rPr>
            <b/>
            <sz val="9"/>
            <color indexed="81"/>
            <rFont val="Tahoma"/>
            <family val="2"/>
          </rPr>
          <t>win:</t>
        </r>
        <r>
          <rPr>
            <sz val="9"/>
            <color indexed="81"/>
            <rFont val="Tahoma"/>
            <family val="2"/>
          </rPr>
          <t xml:space="preserve">
Participation cost breakdown:
$800 - travel
$600 - accomodation
$100 - accessories
Total per participant: $1,500
avergae # of participants: 15</t>
        </r>
      </text>
    </comment>
  </commentList>
</comments>
</file>

<file path=xl/sharedStrings.xml><?xml version="1.0" encoding="utf-8"?>
<sst xmlns="http://schemas.openxmlformats.org/spreadsheetml/2006/main" count="133" uniqueCount="70">
  <si>
    <t>Communities</t>
  </si>
  <si>
    <t>Cost Breakdown</t>
  </si>
  <si>
    <t>Leadership Core</t>
  </si>
  <si>
    <t>Community Members</t>
  </si>
  <si>
    <t>Participants</t>
  </si>
  <si>
    <t>Item</t>
  </si>
  <si>
    <t>Cost</t>
  </si>
  <si>
    <t>%</t>
  </si>
  <si>
    <t>Criteria</t>
  </si>
  <si>
    <t>Prerequisite</t>
  </si>
  <si>
    <t>Notes</t>
  </si>
  <si>
    <t>Mentoring</t>
  </si>
  <si>
    <t>Members</t>
  </si>
  <si>
    <t>Community members</t>
  </si>
  <si>
    <t>Seed Money</t>
  </si>
  <si>
    <t>Monthly meetings</t>
  </si>
  <si>
    <t>Marketing</t>
  </si>
  <si>
    <t>Volunteering</t>
  </si>
  <si>
    <t>Average annual hours per member</t>
  </si>
  <si>
    <t>Training</t>
  </si>
  <si>
    <t>Projects</t>
  </si>
  <si>
    <t>Communal initiative</t>
  </si>
  <si>
    <t>N/A</t>
  </si>
  <si>
    <t>Total</t>
  </si>
  <si>
    <t>Objectives</t>
  </si>
  <si>
    <t>Year / Objective</t>
  </si>
  <si>
    <t>Leadership</t>
  </si>
  <si>
    <t>Sub-Total</t>
  </si>
  <si>
    <t>Total Impact</t>
  </si>
  <si>
    <t>Cost per Unit (community)</t>
  </si>
  <si>
    <t>Total Cost</t>
  </si>
  <si>
    <t>Sub-Total (impact)</t>
  </si>
  <si>
    <t>Conferences</t>
  </si>
  <si>
    <t>Cost Breakdown (International Conference)</t>
  </si>
  <si>
    <t>Cost Breakdown (Local Conference)</t>
  </si>
  <si>
    <t>International Conference</t>
  </si>
  <si>
    <t>Local Conference</t>
  </si>
  <si>
    <t>Accommodation</t>
  </si>
  <si>
    <t>Total # of participants</t>
  </si>
  <si>
    <t>Programming</t>
  </si>
  <si>
    <t>Travel</t>
  </si>
  <si>
    <t>Countries</t>
  </si>
  <si>
    <t>Different countries</t>
  </si>
  <si>
    <t>Duration</t>
  </si>
  <si>
    <t>Days</t>
  </si>
  <si>
    <t>Intl Conf.</t>
  </si>
  <si>
    <t>Local Conf.</t>
  </si>
  <si>
    <t>Cost per Unit</t>
  </si>
  <si>
    <t>Israel Trips</t>
  </si>
  <si>
    <t>Cost Breakdown (Per Participant)</t>
  </si>
  <si>
    <t>Program</t>
  </si>
  <si>
    <t>Trips</t>
  </si>
  <si>
    <t>Cost per Unit (person)</t>
  </si>
  <si>
    <t>Content Development &amp; Training</t>
  </si>
  <si>
    <t>Resources</t>
  </si>
  <si>
    <t>Website</t>
  </si>
  <si>
    <t>Webinars</t>
  </si>
  <si>
    <t>Travel Stipends - West Cost</t>
  </si>
  <si>
    <t>Travel Stipends - International</t>
  </si>
  <si>
    <t>Cost Sub-Total</t>
  </si>
  <si>
    <t>Overview</t>
  </si>
  <si>
    <t>Result</t>
  </si>
  <si>
    <t>Investment</t>
  </si>
  <si>
    <t>Content &amp; Training</t>
  </si>
  <si>
    <t>Travel  - US</t>
  </si>
  <si>
    <t>Travel - Intl</t>
  </si>
  <si>
    <t>תשלום לפי ביצוע כנס</t>
  </si>
  <si>
    <t>תשלום לפי ביצוע סיור</t>
  </si>
  <si>
    <t>טבלת עזר לתשלום לכל שנה</t>
  </si>
  <si>
    <t>הצעה לתשלום: עלות קהילה לרבעון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</si>
</sst>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[$$-409]#,##0"/>
    <numFmt numFmtId="165" formatCode="#,##0.00_ ;\-#,##0.00\ "/>
    <numFmt numFmtId="166" formatCode="[$$-409]#,##0.00_ ;\-[$$-409]#,##0.00\ 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 shrinkToFit="1"/>
    </xf>
    <xf numFmtId="164" fontId="4" fillId="3" borderId="1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9" fontId="0" fillId="6" borderId="1" xfId="0" applyNumberForma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3" fontId="0" fillId="6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9" fontId="0" fillId="0" borderId="8" xfId="2" applyFont="1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0" fillId="0" borderId="9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6" fontId="4" fillId="0" borderId="2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center" vertical="center"/>
    </xf>
    <xf numFmtId="165" fontId="4" fillId="0" borderId="11" xfId="1" applyNumberFormat="1" applyFont="1" applyBorder="1" applyAlignment="1">
      <alignment horizontal="center" vertical="center"/>
    </xf>
    <xf numFmtId="165" fontId="4" fillId="0" borderId="12" xfId="1" applyNumberFormat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4" fillId="6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9" fontId="9" fillId="7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9" fontId="5" fillId="7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18</xdr:row>
      <xdr:rowOff>238125</xdr:rowOff>
    </xdr:from>
    <xdr:to>
      <xdr:col>10</xdr:col>
      <xdr:colOff>571500</xdr:colOff>
      <xdr:row>23</xdr:row>
      <xdr:rowOff>76200</xdr:rowOff>
    </xdr:to>
    <xdr:cxnSp macro="">
      <xdr:nvCxnSpPr>
        <xdr:cNvPr id="2" name="מחבר: מעוקל 1">
          <a:extLst>
            <a:ext uri="{FF2B5EF4-FFF2-40B4-BE49-F238E27FC236}">
              <a16:creationId xmlns="" xmlns:a16="http://schemas.microsoft.com/office/drawing/2014/main" id="{79AC0068-5BEF-42BD-819D-BE19B0306BDC}"/>
            </a:ext>
          </a:extLst>
        </xdr:cNvPr>
        <xdr:cNvCxnSpPr/>
      </xdr:nvCxnSpPr>
      <xdr:spPr>
        <a:xfrm flipV="1">
          <a:off x="10744200" y="3095625"/>
          <a:ext cx="2505075" cy="1266825"/>
        </a:xfrm>
        <a:prstGeom prst="curvedConnector3">
          <a:avLst>
            <a:gd name="adj1" fmla="val 100391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35</xdr:row>
      <xdr:rowOff>85725</xdr:rowOff>
    </xdr:from>
    <xdr:to>
      <xdr:col>10</xdr:col>
      <xdr:colOff>619125</xdr:colOff>
      <xdr:row>38</xdr:row>
      <xdr:rowOff>190501</xdr:rowOff>
    </xdr:to>
    <xdr:cxnSp macro="">
      <xdr:nvCxnSpPr>
        <xdr:cNvPr id="4" name="מחבר: מעוקל 3">
          <a:extLst>
            <a:ext uri="{FF2B5EF4-FFF2-40B4-BE49-F238E27FC236}">
              <a16:creationId xmlns="" xmlns:a16="http://schemas.microsoft.com/office/drawing/2014/main" id="{459F9771-53D3-4E45-82C7-66F652ACA44A}"/>
            </a:ext>
          </a:extLst>
        </xdr:cNvPr>
        <xdr:cNvCxnSpPr/>
      </xdr:nvCxnSpPr>
      <xdr:spPr>
        <a:xfrm flipV="1">
          <a:off x="10782300" y="12087225"/>
          <a:ext cx="2514600" cy="962026"/>
        </a:xfrm>
        <a:prstGeom prst="curvedConnector3">
          <a:avLst>
            <a:gd name="adj1" fmla="val 100195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35</xdr:row>
      <xdr:rowOff>114300</xdr:rowOff>
    </xdr:from>
    <xdr:to>
      <xdr:col>14</xdr:col>
      <xdr:colOff>590550</xdr:colOff>
      <xdr:row>38</xdr:row>
      <xdr:rowOff>190502</xdr:rowOff>
    </xdr:to>
    <xdr:cxnSp macro="">
      <xdr:nvCxnSpPr>
        <xdr:cNvPr id="5" name="מחבר: מעוקל 4">
          <a:extLst>
            <a:ext uri="{FF2B5EF4-FFF2-40B4-BE49-F238E27FC236}">
              <a16:creationId xmlns="" xmlns:a16="http://schemas.microsoft.com/office/drawing/2014/main" id="{724FE294-79CB-4B78-905D-946CCAA726A2}"/>
            </a:ext>
          </a:extLst>
        </xdr:cNvPr>
        <xdr:cNvCxnSpPr/>
      </xdr:nvCxnSpPr>
      <xdr:spPr>
        <a:xfrm flipV="1">
          <a:off x="10772775" y="12115800"/>
          <a:ext cx="6448425" cy="933452"/>
        </a:xfrm>
        <a:prstGeom prst="curvedConnector3">
          <a:avLst>
            <a:gd name="adj1" fmla="val 100153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50</xdr:row>
      <xdr:rowOff>123825</xdr:rowOff>
    </xdr:from>
    <xdr:to>
      <xdr:col>10</xdr:col>
      <xdr:colOff>638175</xdr:colOff>
      <xdr:row>53</xdr:row>
      <xdr:rowOff>180976</xdr:rowOff>
    </xdr:to>
    <xdr:cxnSp macro="">
      <xdr:nvCxnSpPr>
        <xdr:cNvPr id="6" name="מחבר: מעוקל 5">
          <a:extLst>
            <a:ext uri="{FF2B5EF4-FFF2-40B4-BE49-F238E27FC236}">
              <a16:creationId xmlns="" xmlns:a16="http://schemas.microsoft.com/office/drawing/2014/main" id="{BC87360C-81B1-46FA-9460-14EB32940D15}"/>
            </a:ext>
          </a:extLst>
        </xdr:cNvPr>
        <xdr:cNvCxnSpPr/>
      </xdr:nvCxnSpPr>
      <xdr:spPr>
        <a:xfrm flipV="1">
          <a:off x="10744200" y="16411575"/>
          <a:ext cx="2571750" cy="914401"/>
        </a:xfrm>
        <a:prstGeom prst="curvedConnector3">
          <a:avLst>
            <a:gd name="adj1" fmla="val 100190"/>
          </a:avLst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P78"/>
  <sheetViews>
    <sheetView tabSelected="1" zoomScaleNormal="100" workbookViewId="0">
      <selection activeCell="I7" sqref="I7"/>
    </sheetView>
  </sheetViews>
  <sheetFormatPr defaultColWidth="8.875" defaultRowHeight="14.25" x14ac:dyDescent="0.2"/>
  <cols>
    <col min="1" max="1" width="9.625" style="1" customWidth="1"/>
    <col min="2" max="2" width="27.625" style="1" customWidth="1"/>
    <col min="3" max="3" width="16.25" style="1" customWidth="1"/>
    <col min="4" max="4" width="19.875" style="1" customWidth="1"/>
    <col min="5" max="5" width="18.875" style="1" customWidth="1"/>
    <col min="6" max="6" width="19" style="1" customWidth="1"/>
    <col min="7" max="7" width="14.375" style="1" customWidth="1"/>
    <col min="8" max="8" width="14.625" style="1" customWidth="1"/>
    <col min="9" max="9" width="8.875" style="1"/>
    <col min="10" max="10" width="17.25" style="1" customWidth="1"/>
    <col min="11" max="11" width="14.625" style="1" customWidth="1"/>
    <col min="12" max="12" width="11.125" style="1" customWidth="1"/>
    <col min="13" max="13" width="8.875" style="1"/>
    <col min="14" max="14" width="17.25" style="1" customWidth="1"/>
    <col min="15" max="15" width="11.875" style="1" customWidth="1"/>
    <col min="16" max="16" width="10.375" style="1" customWidth="1"/>
    <col min="17" max="16384" width="8.875" style="1"/>
  </cols>
  <sheetData>
    <row r="1" spans="2:14" ht="21.75" customHeight="1" x14ac:dyDescent="0.2"/>
    <row r="2" spans="2:14" ht="21.75" customHeight="1" x14ac:dyDescent="0.2">
      <c r="B2" s="82" t="s">
        <v>60</v>
      </c>
      <c r="C2" s="82"/>
      <c r="D2" s="82"/>
      <c r="E2" s="82"/>
      <c r="F2" s="82"/>
      <c r="G2" s="82"/>
      <c r="H2" s="82"/>
    </row>
    <row r="3" spans="2:14" ht="21.75" customHeight="1" x14ac:dyDescent="0.2">
      <c r="B3" s="83" t="s">
        <v>61</v>
      </c>
      <c r="C3" s="83"/>
      <c r="D3" s="83" t="s">
        <v>62</v>
      </c>
      <c r="E3" s="83"/>
      <c r="F3" s="83"/>
      <c r="G3" s="83" t="s">
        <v>7</v>
      </c>
      <c r="H3" s="83"/>
    </row>
    <row r="4" spans="2:14" ht="21.75" customHeight="1" x14ac:dyDescent="0.2">
      <c r="B4" s="84" t="s">
        <v>0</v>
      </c>
      <c r="C4" s="84"/>
      <c r="D4" s="92">
        <f>עלות_קהילות_ל3_שנים</f>
        <v>5600000</v>
      </c>
      <c r="E4" s="92"/>
      <c r="F4" s="92"/>
      <c r="G4" s="91">
        <f>D4/$D$8</f>
        <v>0.76868698654111445</v>
      </c>
      <c r="H4" s="91"/>
    </row>
    <row r="5" spans="2:14" ht="21.75" customHeight="1" x14ac:dyDescent="0.2">
      <c r="B5" s="84" t="s">
        <v>32</v>
      </c>
      <c r="C5" s="84"/>
      <c r="D5" s="92">
        <f>סהכ_עלות_כנסים</f>
        <v>466750</v>
      </c>
      <c r="E5" s="92"/>
      <c r="F5" s="92"/>
      <c r="G5" s="91">
        <f t="shared" ref="G5:G7" si="0">D5/$D$8</f>
        <v>6.4068687672868788E-2</v>
      </c>
      <c r="H5" s="91"/>
      <c r="J5" s="1" t="s">
        <v>66</v>
      </c>
    </row>
    <row r="6" spans="2:14" ht="21.75" customHeight="1" x14ac:dyDescent="0.2">
      <c r="B6" s="84" t="s">
        <v>48</v>
      </c>
      <c r="C6" s="84"/>
      <c r="D6" s="92">
        <f>סהכ_עלות_הסיורים</f>
        <v>720000</v>
      </c>
      <c r="E6" s="92"/>
      <c r="F6" s="92"/>
      <c r="G6" s="91">
        <f t="shared" si="0"/>
        <v>9.8831183983857568E-2</v>
      </c>
      <c r="H6" s="91"/>
      <c r="J6" s="1" t="s">
        <v>67</v>
      </c>
    </row>
    <row r="7" spans="2:14" ht="21.75" customHeight="1" x14ac:dyDescent="0.2">
      <c r="B7" s="84" t="s">
        <v>63</v>
      </c>
      <c r="C7" s="84"/>
      <c r="D7" s="92">
        <f>סהכ_פיתוח_תוכן_והכשרות</f>
        <v>498400</v>
      </c>
      <c r="E7" s="92"/>
      <c r="F7" s="92"/>
      <c r="G7" s="91">
        <f t="shared" si="0"/>
        <v>6.8413141802159183E-2</v>
      </c>
      <c r="H7" s="91"/>
    </row>
    <row r="8" spans="2:14" ht="21.75" customHeight="1" x14ac:dyDescent="0.2">
      <c r="B8" s="83" t="s">
        <v>23</v>
      </c>
      <c r="C8" s="83"/>
      <c r="D8" s="93">
        <f>SUM(D4:F7)</f>
        <v>7285150</v>
      </c>
      <c r="E8" s="83"/>
      <c r="F8" s="83"/>
      <c r="G8" s="94">
        <f>SUM(G4:H7)</f>
        <v>1</v>
      </c>
      <c r="H8" s="94"/>
      <c r="J8" s="34"/>
      <c r="K8" s="34"/>
    </row>
    <row r="9" spans="2:14" ht="22.5" customHeight="1" x14ac:dyDescent="0.2"/>
    <row r="10" spans="2:14" ht="22.5" customHeight="1" x14ac:dyDescent="0.2">
      <c r="B10" s="56" t="s">
        <v>0</v>
      </c>
      <c r="C10" s="56"/>
      <c r="D10" s="56"/>
      <c r="E10" s="56"/>
      <c r="F10" s="56"/>
      <c r="G10" s="56"/>
      <c r="H10" s="56"/>
      <c r="J10" s="57" t="s">
        <v>1</v>
      </c>
      <c r="K10" s="57"/>
      <c r="L10" s="57"/>
    </row>
    <row r="11" spans="2:14" ht="22.5" customHeight="1" x14ac:dyDescent="0.2">
      <c r="B11" s="2"/>
      <c r="C11" s="58" t="s">
        <v>2</v>
      </c>
      <c r="D11" s="58"/>
      <c r="E11" s="58" t="s">
        <v>3</v>
      </c>
      <c r="F11" s="58"/>
      <c r="G11" s="58" t="s">
        <v>4</v>
      </c>
      <c r="H11" s="58"/>
      <c r="J11" s="3" t="s">
        <v>5</v>
      </c>
      <c r="K11" s="4" t="s">
        <v>6</v>
      </c>
      <c r="L11" s="4" t="s">
        <v>7</v>
      </c>
    </row>
    <row r="12" spans="2:14" ht="22.5" customHeight="1" x14ac:dyDescent="0.2">
      <c r="B12" s="5" t="s">
        <v>8</v>
      </c>
      <c r="C12" s="6" t="s">
        <v>9</v>
      </c>
      <c r="D12" s="6" t="s">
        <v>10</v>
      </c>
      <c r="E12" s="6" t="s">
        <v>9</v>
      </c>
      <c r="F12" s="6" t="s">
        <v>10</v>
      </c>
      <c r="G12" s="6" t="s">
        <v>9</v>
      </c>
      <c r="H12" s="6" t="s">
        <v>10</v>
      </c>
      <c r="J12" s="3" t="s">
        <v>11</v>
      </c>
      <c r="K12" s="7">
        <f>500*12*3</f>
        <v>18000</v>
      </c>
      <c r="L12" s="8">
        <f>K12/$K$16</f>
        <v>0.45</v>
      </c>
    </row>
    <row r="13" spans="2:14" ht="22.5" customHeight="1" x14ac:dyDescent="0.2">
      <c r="B13" s="5" t="s">
        <v>12</v>
      </c>
      <c r="C13" s="2">
        <v>10</v>
      </c>
      <c r="D13" s="2"/>
      <c r="E13" s="2">
        <v>50</v>
      </c>
      <c r="F13" s="2" t="s">
        <v>13</v>
      </c>
      <c r="G13" s="2">
        <v>350</v>
      </c>
      <c r="H13" s="2" t="s">
        <v>4</v>
      </c>
      <c r="J13" s="3" t="s">
        <v>14</v>
      </c>
      <c r="K13" s="7">
        <f>40*200+10*300+30*200</f>
        <v>17000</v>
      </c>
      <c r="L13" s="8">
        <f t="shared" ref="L13:L15" si="1">K13/$K$16</f>
        <v>0.42499999999999999</v>
      </c>
      <c r="N13" s="33"/>
    </row>
    <row r="14" spans="2:14" ht="22.5" customHeight="1" x14ac:dyDescent="0.2">
      <c r="B14" s="5" t="s">
        <v>15</v>
      </c>
      <c r="C14" s="2">
        <v>2</v>
      </c>
      <c r="D14" s="2"/>
      <c r="E14" s="2">
        <v>1</v>
      </c>
      <c r="F14" s="2"/>
      <c r="G14" s="2">
        <v>0.5</v>
      </c>
      <c r="H14" s="2"/>
      <c r="J14" s="3" t="s">
        <v>16</v>
      </c>
      <c r="K14" s="7">
        <v>2500</v>
      </c>
      <c r="L14" s="8">
        <f t="shared" si="1"/>
        <v>6.25E-2</v>
      </c>
    </row>
    <row r="15" spans="2:14" ht="22.5" customHeight="1" x14ac:dyDescent="0.2">
      <c r="B15" s="5" t="s">
        <v>17</v>
      </c>
      <c r="C15" s="2">
        <v>25</v>
      </c>
      <c r="D15" s="9" t="s">
        <v>18</v>
      </c>
      <c r="E15" s="2">
        <v>15</v>
      </c>
      <c r="F15" s="9" t="s">
        <v>18</v>
      </c>
      <c r="G15" s="2">
        <v>0</v>
      </c>
      <c r="H15" s="2"/>
      <c r="J15" s="3" t="s">
        <v>19</v>
      </c>
      <c r="K15" s="7">
        <f>500*5</f>
        <v>2500</v>
      </c>
      <c r="L15" s="8">
        <f t="shared" si="1"/>
        <v>6.25E-2</v>
      </c>
    </row>
    <row r="16" spans="2:14" ht="22.5" customHeight="1" x14ac:dyDescent="0.2">
      <c r="B16" s="5" t="s">
        <v>20</v>
      </c>
      <c r="C16" s="2">
        <v>1</v>
      </c>
      <c r="D16" s="2" t="s">
        <v>21</v>
      </c>
      <c r="E16" s="2" t="s">
        <v>22</v>
      </c>
      <c r="F16" s="2"/>
      <c r="G16" s="2" t="s">
        <v>22</v>
      </c>
      <c r="H16" s="2"/>
      <c r="J16" s="3" t="s">
        <v>23</v>
      </c>
      <c r="K16" s="10">
        <f>SUM(K9:K15)</f>
        <v>40000</v>
      </c>
      <c r="L16" s="8">
        <f>SUM(L9:L15)</f>
        <v>1</v>
      </c>
    </row>
    <row r="17" spans="2:16" ht="22.5" customHeight="1" x14ac:dyDescent="0.2">
      <c r="B17" s="59" t="s">
        <v>24</v>
      </c>
      <c r="C17" s="59"/>
      <c r="D17" s="59"/>
      <c r="E17" s="59"/>
      <c r="F17" s="59"/>
      <c r="G17" s="59"/>
      <c r="H17" s="59"/>
    </row>
    <row r="18" spans="2:16" ht="22.5" customHeight="1" x14ac:dyDescent="0.2">
      <c r="B18" s="5" t="s">
        <v>25</v>
      </c>
      <c r="C18" s="5" t="s">
        <v>0</v>
      </c>
      <c r="D18" s="5" t="s">
        <v>26</v>
      </c>
      <c r="E18" s="58" t="s">
        <v>3</v>
      </c>
      <c r="F18" s="58"/>
      <c r="G18" s="58" t="s">
        <v>4</v>
      </c>
      <c r="H18" s="58"/>
    </row>
    <row r="19" spans="2:16" ht="22.5" customHeight="1" x14ac:dyDescent="0.2">
      <c r="B19" s="5">
        <v>2017</v>
      </c>
      <c r="C19" s="11">
        <v>32</v>
      </c>
      <c r="D19" s="11">
        <f>C19*$C$13</f>
        <v>320</v>
      </c>
      <c r="E19" s="55">
        <f>C19*$E$13</f>
        <v>1600</v>
      </c>
      <c r="F19" s="55"/>
      <c r="G19" s="55">
        <f>C19*$G$13</f>
        <v>11200</v>
      </c>
      <c r="H19" s="55"/>
    </row>
    <row r="20" spans="2:16" ht="22.5" customHeight="1" x14ac:dyDescent="0.2">
      <c r="B20" s="5">
        <v>2018</v>
      </c>
      <c r="C20" s="11">
        <v>48</v>
      </c>
      <c r="D20" s="11">
        <f t="shared" ref="D20:D21" si="2">C20*$C$13</f>
        <v>480</v>
      </c>
      <c r="E20" s="55">
        <f t="shared" ref="E20:E21" si="3">C20*$E$13</f>
        <v>2400</v>
      </c>
      <c r="F20" s="55"/>
      <c r="G20" s="55">
        <f t="shared" ref="G20:G22" si="4">C20*$G$13</f>
        <v>16800</v>
      </c>
      <c r="H20" s="55"/>
    </row>
    <row r="21" spans="2:16" ht="22.5" customHeight="1" x14ac:dyDescent="0.2">
      <c r="B21" s="5">
        <v>2019</v>
      </c>
      <c r="C21" s="11">
        <v>60</v>
      </c>
      <c r="D21" s="11">
        <f t="shared" si="2"/>
        <v>600</v>
      </c>
      <c r="E21" s="55">
        <f t="shared" si="3"/>
        <v>3000</v>
      </c>
      <c r="F21" s="55"/>
      <c r="G21" s="55">
        <f t="shared" si="4"/>
        <v>21000</v>
      </c>
      <c r="H21" s="55"/>
    </row>
    <row r="22" spans="2:16" ht="22.5" customHeight="1" x14ac:dyDescent="0.2">
      <c r="B22" s="5" t="s">
        <v>27</v>
      </c>
      <c r="C22" s="11">
        <f>SUM(C19:C21)</f>
        <v>140</v>
      </c>
      <c r="D22" s="11">
        <f>SUM(D19:D21)</f>
        <v>1400</v>
      </c>
      <c r="E22" s="55">
        <f>SUM(E19:E21)</f>
        <v>7000</v>
      </c>
      <c r="F22" s="55"/>
      <c r="G22" s="55">
        <f t="shared" si="4"/>
        <v>49000</v>
      </c>
      <c r="H22" s="55"/>
    </row>
    <row r="23" spans="2:16" ht="22.5" customHeight="1" x14ac:dyDescent="0.2">
      <c r="B23" s="5" t="s">
        <v>28</v>
      </c>
      <c r="C23" s="96">
        <f>SUM(D22,E22,G22)</f>
        <v>57400</v>
      </c>
      <c r="D23" s="96"/>
      <c r="E23" s="96"/>
      <c r="F23" s="96"/>
      <c r="G23" s="96"/>
      <c r="H23" s="96"/>
    </row>
    <row r="24" spans="2:16" ht="22.5" customHeight="1" x14ac:dyDescent="0.2">
      <c r="B24" s="5" t="s">
        <v>29</v>
      </c>
      <c r="C24" s="95">
        <f>K16</f>
        <v>40000</v>
      </c>
      <c r="D24" s="95"/>
      <c r="E24" s="95"/>
      <c r="F24" s="95"/>
      <c r="G24" s="95"/>
      <c r="H24" s="95"/>
      <c r="K24" s="50">
        <f>40000/3/4</f>
        <v>3333.3333333333335</v>
      </c>
      <c r="L24" s="51" t="s">
        <v>69</v>
      </c>
      <c r="M24" s="48"/>
      <c r="N24" s="49"/>
    </row>
    <row r="25" spans="2:16" ht="22.5" customHeight="1" x14ac:dyDescent="0.2">
      <c r="B25" s="5" t="s">
        <v>30</v>
      </c>
      <c r="C25" s="95">
        <f>עלות_קהילה*סהכ_קהילות</f>
        <v>5600000</v>
      </c>
      <c r="D25" s="95"/>
      <c r="E25" s="95"/>
      <c r="F25" s="95"/>
      <c r="G25" s="95"/>
      <c r="H25" s="95"/>
    </row>
    <row r="26" spans="2:16" ht="22.5" customHeight="1" x14ac:dyDescent="0.2"/>
    <row r="27" spans="2:16" ht="22.5" customHeight="1" x14ac:dyDescent="0.2">
      <c r="B27" s="65" t="s">
        <v>32</v>
      </c>
      <c r="C27" s="65"/>
      <c r="D27" s="65"/>
      <c r="E27" s="65"/>
      <c r="F27" s="65"/>
      <c r="G27" s="65"/>
      <c r="H27" s="65"/>
      <c r="J27" s="60" t="s">
        <v>33</v>
      </c>
      <c r="K27" s="60"/>
      <c r="L27" s="60"/>
      <c r="N27" s="60" t="s">
        <v>34</v>
      </c>
      <c r="O27" s="60"/>
      <c r="P27" s="60"/>
    </row>
    <row r="28" spans="2:16" ht="22.5" customHeight="1" x14ac:dyDescent="0.2">
      <c r="B28" s="14"/>
      <c r="C28" s="61" t="s">
        <v>35</v>
      </c>
      <c r="D28" s="62"/>
      <c r="E28" s="63"/>
      <c r="F28" s="61" t="s">
        <v>36</v>
      </c>
      <c r="G28" s="63"/>
      <c r="H28" s="14"/>
      <c r="J28" s="15" t="s">
        <v>5</v>
      </c>
      <c r="K28" s="16" t="s">
        <v>6</v>
      </c>
      <c r="L28" s="16" t="s">
        <v>7</v>
      </c>
      <c r="N28" s="15" t="s">
        <v>5</v>
      </c>
      <c r="O28" s="16" t="s">
        <v>6</v>
      </c>
      <c r="P28" s="16" t="s">
        <v>7</v>
      </c>
    </row>
    <row r="29" spans="2:16" ht="22.5" customHeight="1" x14ac:dyDescent="0.2">
      <c r="B29" s="17" t="s">
        <v>8</v>
      </c>
      <c r="C29" s="18" t="s">
        <v>9</v>
      </c>
      <c r="D29" s="18" t="s">
        <v>10</v>
      </c>
      <c r="E29" s="18"/>
      <c r="F29" s="18" t="s">
        <v>9</v>
      </c>
      <c r="G29" s="18" t="s">
        <v>10</v>
      </c>
      <c r="H29" s="14"/>
      <c r="J29" s="15" t="s">
        <v>37</v>
      </c>
      <c r="K29" s="19">
        <f>180*3-40</f>
        <v>500</v>
      </c>
      <c r="L29" s="20">
        <f>K29/$K$32</f>
        <v>0.76923076923076927</v>
      </c>
      <c r="N29" s="15" t="s">
        <v>37</v>
      </c>
      <c r="O29" s="19">
        <f>100*25</f>
        <v>2500</v>
      </c>
      <c r="P29" s="20">
        <f>O29/$O$32</f>
        <v>0.5</v>
      </c>
    </row>
    <row r="30" spans="2:16" ht="22.5" customHeight="1" x14ac:dyDescent="0.2">
      <c r="B30" s="17" t="s">
        <v>4</v>
      </c>
      <c r="C30" s="14">
        <v>100</v>
      </c>
      <c r="D30" s="14" t="s">
        <v>38</v>
      </c>
      <c r="E30" s="14"/>
      <c r="F30" s="14">
        <v>25</v>
      </c>
      <c r="G30" s="14"/>
      <c r="H30" s="14"/>
      <c r="J30" s="15" t="s">
        <v>39</v>
      </c>
      <c r="K30" s="19">
        <v>100</v>
      </c>
      <c r="L30" s="20">
        <f t="shared" ref="L30:L31" si="5">K30/$K$32</f>
        <v>0.15384615384615385</v>
      </c>
      <c r="N30" s="15" t="s">
        <v>40</v>
      </c>
      <c r="O30" s="19">
        <f>100*10</f>
        <v>1000</v>
      </c>
      <c r="P30" s="20">
        <f t="shared" ref="P30:P31" si="6">O30/$O$32</f>
        <v>0.2</v>
      </c>
    </row>
    <row r="31" spans="2:16" ht="22.5" customHeight="1" x14ac:dyDescent="0.2">
      <c r="B31" s="17" t="s">
        <v>41</v>
      </c>
      <c r="C31" s="14">
        <v>4</v>
      </c>
      <c r="D31" s="14" t="s">
        <v>42</v>
      </c>
      <c r="E31" s="14"/>
      <c r="F31" s="14">
        <v>1</v>
      </c>
      <c r="G31" s="14"/>
      <c r="H31" s="14"/>
      <c r="J31" s="15" t="s">
        <v>16</v>
      </c>
      <c r="K31" s="19">
        <v>50</v>
      </c>
      <c r="L31" s="20">
        <f t="shared" si="5"/>
        <v>7.6923076923076927E-2</v>
      </c>
      <c r="N31" s="15" t="s">
        <v>16</v>
      </c>
      <c r="O31" s="19">
        <v>1500</v>
      </c>
      <c r="P31" s="20">
        <f t="shared" si="6"/>
        <v>0.3</v>
      </c>
    </row>
    <row r="32" spans="2:16" ht="22.5" customHeight="1" x14ac:dyDescent="0.2">
      <c r="B32" s="17" t="s">
        <v>43</v>
      </c>
      <c r="C32" s="14">
        <v>3</v>
      </c>
      <c r="D32" s="14" t="s">
        <v>44</v>
      </c>
      <c r="E32" s="14"/>
      <c r="F32" s="14">
        <v>1</v>
      </c>
      <c r="G32" s="14"/>
      <c r="H32" s="14"/>
      <c r="J32" s="15" t="s">
        <v>23</v>
      </c>
      <c r="K32" s="21">
        <f>SUM(K26:K31)</f>
        <v>650</v>
      </c>
      <c r="L32" s="20">
        <f>SUM(L26:L31)</f>
        <v>1</v>
      </c>
      <c r="N32" s="15" t="s">
        <v>23</v>
      </c>
      <c r="O32" s="21">
        <f>SUM(O26:O31)</f>
        <v>5000</v>
      </c>
      <c r="P32" s="20">
        <f>SUM(P26:P31)</f>
        <v>1</v>
      </c>
    </row>
    <row r="33" spans="2:16" ht="22.5" customHeight="1" x14ac:dyDescent="0.2">
      <c r="B33" s="64" t="s">
        <v>24</v>
      </c>
      <c r="C33" s="64"/>
      <c r="D33" s="64"/>
      <c r="E33" s="64"/>
      <c r="F33" s="64"/>
      <c r="G33" s="64"/>
      <c r="H33" s="64"/>
    </row>
    <row r="34" spans="2:16" ht="22.5" customHeight="1" x14ac:dyDescent="0.2">
      <c r="B34" s="17" t="s">
        <v>25</v>
      </c>
      <c r="C34" s="17" t="s">
        <v>45</v>
      </c>
      <c r="D34" s="17" t="s">
        <v>4</v>
      </c>
      <c r="E34" s="17" t="s">
        <v>64</v>
      </c>
      <c r="F34" s="17" t="s">
        <v>65</v>
      </c>
      <c r="G34" s="17" t="s">
        <v>46</v>
      </c>
      <c r="H34" s="17" t="s">
        <v>4</v>
      </c>
      <c r="J34" s="80" t="s">
        <v>57</v>
      </c>
      <c r="K34" s="81"/>
      <c r="L34" s="19">
        <v>500</v>
      </c>
    </row>
    <row r="35" spans="2:16" ht="22.5" customHeight="1" x14ac:dyDescent="0.2">
      <c r="B35" s="17">
        <v>2017</v>
      </c>
      <c r="C35" s="22">
        <v>1</v>
      </c>
      <c r="D35" s="22">
        <f>C35*$C$30</f>
        <v>100</v>
      </c>
      <c r="E35" s="22">
        <v>15</v>
      </c>
      <c r="F35" s="22">
        <v>20</v>
      </c>
      <c r="G35" s="22">
        <v>3</v>
      </c>
      <c r="H35" s="22">
        <f>G35*$F$30</f>
        <v>75</v>
      </c>
      <c r="J35" s="80" t="s">
        <v>58</v>
      </c>
      <c r="K35" s="81"/>
      <c r="L35" s="19">
        <v>1000</v>
      </c>
    </row>
    <row r="36" spans="2:16" ht="22.5" customHeight="1" x14ac:dyDescent="0.2">
      <c r="B36" s="17">
        <v>2018</v>
      </c>
      <c r="C36" s="22">
        <v>1</v>
      </c>
      <c r="D36" s="22">
        <v>115</v>
      </c>
      <c r="E36" s="22">
        <v>25</v>
      </c>
      <c r="F36" s="22">
        <v>30</v>
      </c>
      <c r="G36" s="22">
        <v>8</v>
      </c>
      <c r="H36" s="22">
        <f>G36*$F$30</f>
        <v>200</v>
      </c>
      <c r="O36" s="12"/>
      <c r="P36" s="13"/>
    </row>
    <row r="37" spans="2:16" ht="22.5" customHeight="1" x14ac:dyDescent="0.2">
      <c r="B37" s="17">
        <v>2019</v>
      </c>
      <c r="C37" s="22">
        <v>1</v>
      </c>
      <c r="D37" s="22">
        <v>130</v>
      </c>
      <c r="E37" s="22">
        <v>45</v>
      </c>
      <c r="F37" s="22">
        <v>40</v>
      </c>
      <c r="G37" s="22">
        <v>11</v>
      </c>
      <c r="H37" s="22">
        <f>G37*$F$30</f>
        <v>275</v>
      </c>
    </row>
    <row r="38" spans="2:16" ht="22.5" customHeight="1" x14ac:dyDescent="0.2">
      <c r="B38" s="17" t="s">
        <v>27</v>
      </c>
      <c r="C38" s="22">
        <f t="shared" ref="C38:H38" si="7">SUM(C35:C37)</f>
        <v>3</v>
      </c>
      <c r="D38" s="22">
        <f t="shared" si="7"/>
        <v>345</v>
      </c>
      <c r="E38" s="22">
        <f t="shared" si="7"/>
        <v>85</v>
      </c>
      <c r="F38" s="22">
        <f t="shared" si="7"/>
        <v>90</v>
      </c>
      <c r="G38" s="22">
        <f t="shared" si="7"/>
        <v>22</v>
      </c>
      <c r="H38" s="22">
        <f t="shared" si="7"/>
        <v>550</v>
      </c>
    </row>
    <row r="39" spans="2:16" ht="22.5" customHeight="1" x14ac:dyDescent="0.2">
      <c r="B39" s="17" t="s">
        <v>47</v>
      </c>
      <c r="C39" s="67">
        <f>עלות_כנס_בינל_לאדם</f>
        <v>650</v>
      </c>
      <c r="D39" s="67"/>
      <c r="E39" s="23">
        <f>L34</f>
        <v>500</v>
      </c>
      <c r="F39" s="23">
        <f>L35</f>
        <v>1000</v>
      </c>
      <c r="G39" s="67">
        <f>עלות_כנס_מקומי</f>
        <v>5000</v>
      </c>
      <c r="H39" s="67"/>
    </row>
    <row r="40" spans="2:16" ht="22.5" customHeight="1" x14ac:dyDescent="0.2">
      <c r="B40" s="17" t="s">
        <v>27</v>
      </c>
      <c r="C40" s="67">
        <f>מס_משתתפים_בכנס_בניל*C39</f>
        <v>224250</v>
      </c>
      <c r="D40" s="68"/>
      <c r="E40" s="23">
        <f>E39*E38</f>
        <v>42500</v>
      </c>
      <c r="F40" s="23">
        <f>F39*F38</f>
        <v>90000</v>
      </c>
      <c r="G40" s="67">
        <f>מס_כנסים_מקומיים*G39</f>
        <v>110000</v>
      </c>
      <c r="H40" s="67"/>
    </row>
    <row r="41" spans="2:16" ht="22.5" customHeight="1" x14ac:dyDescent="0.2">
      <c r="B41" s="17" t="s">
        <v>30</v>
      </c>
      <c r="C41" s="69">
        <f>SUM(C40:H40)</f>
        <v>466750</v>
      </c>
      <c r="D41" s="70"/>
      <c r="E41" s="70"/>
      <c r="F41" s="70"/>
      <c r="G41" s="71"/>
      <c r="H41" s="14"/>
    </row>
    <row r="42" spans="2:16" ht="22.5" customHeight="1" x14ac:dyDescent="0.2"/>
    <row r="43" spans="2:16" ht="22.5" customHeight="1" x14ac:dyDescent="0.2">
      <c r="B43" s="72" t="s">
        <v>48</v>
      </c>
      <c r="C43" s="72"/>
      <c r="D43" s="72"/>
      <c r="E43" s="72"/>
      <c r="F43" s="72"/>
      <c r="G43" s="72"/>
      <c r="H43" s="72"/>
      <c r="J43" s="73" t="s">
        <v>49</v>
      </c>
      <c r="K43" s="73"/>
      <c r="L43" s="73"/>
    </row>
    <row r="44" spans="2:16" ht="22.5" customHeight="1" x14ac:dyDescent="0.2">
      <c r="B44" s="24" t="s">
        <v>8</v>
      </c>
      <c r="C44" s="24" t="s">
        <v>9</v>
      </c>
      <c r="D44" s="74" t="s">
        <v>10</v>
      </c>
      <c r="E44" s="75"/>
      <c r="F44" s="76"/>
      <c r="G44" s="25"/>
      <c r="H44" s="25"/>
      <c r="J44" s="26" t="s">
        <v>5</v>
      </c>
      <c r="K44" s="26" t="s">
        <v>6</v>
      </c>
      <c r="L44" s="26" t="s">
        <v>7</v>
      </c>
    </row>
    <row r="45" spans="2:16" ht="22.5" customHeight="1" x14ac:dyDescent="0.2">
      <c r="B45" s="26" t="s">
        <v>4</v>
      </c>
      <c r="C45" s="25">
        <v>14</v>
      </c>
      <c r="D45" s="87"/>
      <c r="E45" s="88"/>
      <c r="F45" s="89"/>
      <c r="G45" s="25"/>
      <c r="H45" s="25"/>
      <c r="J45" s="26" t="s">
        <v>40</v>
      </c>
      <c r="K45" s="27">
        <v>1200</v>
      </c>
      <c r="L45" s="28">
        <f>K45/$K$48</f>
        <v>0.5</v>
      </c>
    </row>
    <row r="46" spans="2:16" ht="22.5" customHeight="1" x14ac:dyDescent="0.2">
      <c r="B46" s="26" t="s">
        <v>0</v>
      </c>
      <c r="C46" s="25">
        <v>5</v>
      </c>
      <c r="D46" s="87"/>
      <c r="E46" s="88"/>
      <c r="F46" s="89"/>
      <c r="G46" s="25"/>
      <c r="H46" s="25"/>
      <c r="J46" s="26" t="s">
        <v>37</v>
      </c>
      <c r="K46" s="27">
        <f>100*8</f>
        <v>800</v>
      </c>
      <c r="L46" s="28">
        <f t="shared" ref="L46:L47" si="8">K46/$K$48</f>
        <v>0.33333333333333331</v>
      </c>
    </row>
    <row r="47" spans="2:16" ht="22.5" customHeight="1" x14ac:dyDescent="0.2">
      <c r="B47" s="26" t="s">
        <v>43</v>
      </c>
      <c r="C47" s="25">
        <v>8</v>
      </c>
      <c r="D47" s="87" t="s">
        <v>44</v>
      </c>
      <c r="E47" s="88"/>
      <c r="F47" s="89"/>
      <c r="G47" s="25"/>
      <c r="H47" s="25"/>
      <c r="J47" s="26" t="s">
        <v>50</v>
      </c>
      <c r="K47" s="27">
        <f>50*8</f>
        <v>400</v>
      </c>
      <c r="L47" s="28">
        <f t="shared" si="8"/>
        <v>0.16666666666666666</v>
      </c>
    </row>
    <row r="48" spans="2:16" ht="22.5" customHeight="1" x14ac:dyDescent="0.2">
      <c r="B48" s="90" t="s">
        <v>24</v>
      </c>
      <c r="C48" s="90"/>
      <c r="D48" s="90"/>
      <c r="E48" s="90"/>
      <c r="F48" s="90"/>
      <c r="G48" s="90"/>
      <c r="H48" s="90"/>
      <c r="J48" s="26" t="s">
        <v>23</v>
      </c>
      <c r="K48" s="29">
        <f>SUM(K43:K47)</f>
        <v>2400</v>
      </c>
      <c r="L48" s="28">
        <f>SUM(L43:L47)</f>
        <v>0.99999999999999989</v>
      </c>
    </row>
    <row r="49" spans="2:12" ht="22.5" customHeight="1" x14ac:dyDescent="0.2">
      <c r="B49" s="26" t="s">
        <v>25</v>
      </c>
      <c r="C49" s="26" t="s">
        <v>51</v>
      </c>
      <c r="D49" s="26" t="s">
        <v>4</v>
      </c>
      <c r="E49" s="26" t="s">
        <v>0</v>
      </c>
      <c r="F49" s="25"/>
      <c r="G49" s="25"/>
      <c r="H49" s="25"/>
    </row>
    <row r="50" spans="2:12" ht="22.5" customHeight="1" x14ac:dyDescent="0.2">
      <c r="B50" s="26">
        <v>2017</v>
      </c>
      <c r="C50" s="30">
        <v>2</v>
      </c>
      <c r="D50" s="30">
        <v>50</v>
      </c>
      <c r="E50" s="25">
        <v>25</v>
      </c>
      <c r="F50" s="25"/>
      <c r="G50" s="25"/>
      <c r="H50" s="25"/>
      <c r="J50" s="13"/>
      <c r="K50" s="13"/>
      <c r="L50" s="13"/>
    </row>
    <row r="51" spans="2:12" ht="22.5" customHeight="1" x14ac:dyDescent="0.2">
      <c r="B51" s="26">
        <v>2018</v>
      </c>
      <c r="C51" s="30">
        <v>4</v>
      </c>
      <c r="D51" s="30">
        <v>100</v>
      </c>
      <c r="E51" s="25">
        <v>45</v>
      </c>
      <c r="F51" s="25"/>
      <c r="G51" s="25"/>
      <c r="H51" s="25"/>
      <c r="K51" s="12"/>
      <c r="L51" s="13"/>
    </row>
    <row r="52" spans="2:12" ht="22.5" customHeight="1" x14ac:dyDescent="0.2">
      <c r="B52" s="26">
        <v>2019</v>
      </c>
      <c r="C52" s="30">
        <v>6</v>
      </c>
      <c r="D52" s="30">
        <v>150</v>
      </c>
      <c r="E52" s="25">
        <v>90</v>
      </c>
      <c r="F52" s="25"/>
      <c r="G52" s="25"/>
      <c r="H52" s="25"/>
      <c r="K52" s="12"/>
      <c r="L52" s="13"/>
    </row>
    <row r="53" spans="2:12" ht="22.5" customHeight="1" x14ac:dyDescent="0.2">
      <c r="B53" s="26" t="s">
        <v>31</v>
      </c>
      <c r="C53" s="30">
        <f>SUM(C50:C52)</f>
        <v>12</v>
      </c>
      <c r="D53" s="30">
        <f>SUM(D50:D52)</f>
        <v>300</v>
      </c>
      <c r="E53" s="30">
        <f>SUM(E50:E52)</f>
        <v>160</v>
      </c>
      <c r="F53" s="25"/>
      <c r="G53" s="25"/>
      <c r="H53" s="25"/>
    </row>
    <row r="54" spans="2:12" ht="22.5" customHeight="1" x14ac:dyDescent="0.2">
      <c r="B54" s="26" t="s">
        <v>52</v>
      </c>
      <c r="C54" s="66">
        <f>עלות_סיור_בארץ_לאדם</f>
        <v>2400</v>
      </c>
      <c r="D54" s="66"/>
      <c r="E54" s="66"/>
      <c r="F54" s="25"/>
      <c r="G54" s="25"/>
      <c r="H54" s="25"/>
    </row>
    <row r="55" spans="2:12" ht="22.5" customHeight="1" x14ac:dyDescent="0.2">
      <c r="B55" s="26" t="s">
        <v>30</v>
      </c>
      <c r="C55" s="66">
        <f>C54*סהכ_מנהיגים_בסיור_בארץ</f>
        <v>720000</v>
      </c>
      <c r="D55" s="66"/>
      <c r="E55" s="66"/>
      <c r="F55" s="25"/>
      <c r="G55" s="25"/>
      <c r="H55" s="25"/>
    </row>
    <row r="56" spans="2:12" ht="22.5" customHeight="1" x14ac:dyDescent="0.2"/>
    <row r="57" spans="2:12" ht="22.5" customHeight="1" x14ac:dyDescent="0.2">
      <c r="B57" s="85" t="s">
        <v>53</v>
      </c>
      <c r="C57" s="85"/>
      <c r="D57" s="85"/>
      <c r="E57" s="85"/>
      <c r="F57" s="85"/>
      <c r="G57" s="85"/>
      <c r="H57" s="85"/>
    </row>
    <row r="58" spans="2:12" ht="22.5" customHeight="1" x14ac:dyDescent="0.2">
      <c r="B58" s="86" t="s">
        <v>24</v>
      </c>
      <c r="C58" s="86"/>
      <c r="D58" s="86"/>
      <c r="E58" s="86"/>
      <c r="F58" s="86"/>
      <c r="G58" s="86"/>
      <c r="H58" s="86"/>
    </row>
    <row r="59" spans="2:12" ht="22.5" customHeight="1" x14ac:dyDescent="0.2">
      <c r="B59" s="3" t="s">
        <v>25</v>
      </c>
      <c r="C59" s="3" t="s">
        <v>54</v>
      </c>
      <c r="D59" s="3" t="s">
        <v>55</v>
      </c>
      <c r="E59" s="3" t="s">
        <v>56</v>
      </c>
      <c r="F59" s="4" t="s">
        <v>19</v>
      </c>
      <c r="G59" s="31"/>
      <c r="H59" s="31"/>
    </row>
    <row r="60" spans="2:12" ht="22.5" customHeight="1" x14ac:dyDescent="0.2">
      <c r="B60" s="3">
        <v>2017</v>
      </c>
      <c r="C60" s="32">
        <v>30</v>
      </c>
      <c r="D60" s="32">
        <v>1</v>
      </c>
      <c r="E60" s="31">
        <v>5</v>
      </c>
      <c r="F60" s="31">
        <v>2</v>
      </c>
      <c r="G60" s="31"/>
      <c r="H60" s="31"/>
    </row>
    <row r="61" spans="2:12" ht="22.5" customHeight="1" x14ac:dyDescent="0.2">
      <c r="B61" s="3">
        <v>2018</v>
      </c>
      <c r="C61" s="32">
        <v>50</v>
      </c>
      <c r="D61" s="32">
        <v>1</v>
      </c>
      <c r="E61" s="31">
        <v>7</v>
      </c>
      <c r="F61" s="31">
        <v>4</v>
      </c>
      <c r="G61" s="31"/>
      <c r="H61" s="31"/>
    </row>
    <row r="62" spans="2:12" ht="22.5" customHeight="1" x14ac:dyDescent="0.2">
      <c r="B62" s="3">
        <v>2019</v>
      </c>
      <c r="C62" s="32">
        <v>80</v>
      </c>
      <c r="D62" s="32">
        <v>1</v>
      </c>
      <c r="E62" s="31">
        <v>9</v>
      </c>
      <c r="F62" s="31">
        <v>6</v>
      </c>
      <c r="G62" s="31"/>
      <c r="H62" s="31"/>
      <c r="K62" s="12"/>
      <c r="L62" s="13"/>
    </row>
    <row r="63" spans="2:12" ht="22.5" customHeight="1" x14ac:dyDescent="0.2">
      <c r="B63" s="3" t="s">
        <v>27</v>
      </c>
      <c r="C63" s="32">
        <f>SUM(C60:C62)</f>
        <v>160</v>
      </c>
      <c r="D63" s="32">
        <f>SUM(D60:D62)</f>
        <v>3</v>
      </c>
      <c r="E63" s="32">
        <f>SUM(E60:E62)</f>
        <v>21</v>
      </c>
      <c r="F63" s="32">
        <f>SUM(F60:F62)</f>
        <v>12</v>
      </c>
      <c r="G63" s="31"/>
      <c r="H63" s="31"/>
    </row>
    <row r="64" spans="2:12" ht="22.5" customHeight="1" x14ac:dyDescent="0.2">
      <c r="B64" s="3"/>
      <c r="C64" s="32"/>
      <c r="D64" s="10">
        <v>30000</v>
      </c>
      <c r="E64" s="32"/>
      <c r="F64" s="32"/>
      <c r="G64" s="31"/>
      <c r="H64" s="31"/>
    </row>
    <row r="65" spans="2:8" ht="22.5" customHeight="1" x14ac:dyDescent="0.2">
      <c r="B65" s="3" t="s">
        <v>47</v>
      </c>
      <c r="C65" s="10">
        <v>1000</v>
      </c>
      <c r="D65" s="10">
        <v>15000</v>
      </c>
      <c r="E65" s="10">
        <v>400</v>
      </c>
      <c r="F65" s="10">
        <f>15*1500</f>
        <v>22500</v>
      </c>
      <c r="G65" s="31"/>
      <c r="H65" s="31"/>
    </row>
    <row r="66" spans="2:8" ht="22.5" customHeight="1" x14ac:dyDescent="0.2">
      <c r="B66" s="3" t="s">
        <v>59</v>
      </c>
      <c r="C66" s="10">
        <f>C65*C63</f>
        <v>160000</v>
      </c>
      <c r="D66" s="10">
        <f>D60*D64+(D61+D62)*D65</f>
        <v>60000</v>
      </c>
      <c r="E66" s="10">
        <f>E65*E63</f>
        <v>8400</v>
      </c>
      <c r="F66" s="10">
        <f>F65*F63</f>
        <v>270000</v>
      </c>
      <c r="G66" s="31"/>
      <c r="H66" s="31"/>
    </row>
    <row r="67" spans="2:8" ht="22.5" customHeight="1" x14ac:dyDescent="0.2">
      <c r="B67" s="3" t="s">
        <v>30</v>
      </c>
      <c r="C67" s="77">
        <f>SUM(C66:F66)</f>
        <v>498400</v>
      </c>
      <c r="D67" s="78"/>
      <c r="E67" s="78"/>
      <c r="F67" s="79"/>
      <c r="G67" s="31"/>
      <c r="H67" s="31"/>
    </row>
    <row r="68" spans="2:8" ht="22.5" customHeight="1" x14ac:dyDescent="0.2"/>
    <row r="69" spans="2:8" ht="22.5" customHeight="1" x14ac:dyDescent="0.2">
      <c r="C69" s="36">
        <v>2017</v>
      </c>
      <c r="D69" s="37">
        <v>2018</v>
      </c>
      <c r="E69" s="38">
        <v>2019</v>
      </c>
    </row>
    <row r="70" spans="2:8" x14ac:dyDescent="0.2">
      <c r="B70" s="1" t="s">
        <v>68</v>
      </c>
      <c r="C70" s="39">
        <v>30000</v>
      </c>
      <c r="D70" s="40">
        <v>15000</v>
      </c>
      <c r="E70" s="41">
        <v>15000</v>
      </c>
    </row>
    <row r="71" spans="2:8" x14ac:dyDescent="0.2">
      <c r="C71" s="39">
        <f>1000*30</f>
        <v>30000</v>
      </c>
      <c r="D71" s="40">
        <f>1000*50</f>
        <v>50000</v>
      </c>
      <c r="E71" s="41">
        <f>1000*80</f>
        <v>80000</v>
      </c>
    </row>
    <row r="72" spans="2:8" x14ac:dyDescent="0.2">
      <c r="C72" s="39">
        <f>400*5</f>
        <v>2000</v>
      </c>
      <c r="D72" s="40">
        <f>400*7</f>
        <v>2800</v>
      </c>
      <c r="E72" s="41">
        <f>400*9</f>
        <v>3600</v>
      </c>
    </row>
    <row r="73" spans="2:8" x14ac:dyDescent="0.2">
      <c r="C73" s="39">
        <f>22500*2</f>
        <v>45000</v>
      </c>
      <c r="D73" s="40">
        <f>22500*4</f>
        <v>90000</v>
      </c>
      <c r="E73" s="41">
        <f>22500*6</f>
        <v>135000</v>
      </c>
    </row>
    <row r="74" spans="2:8" x14ac:dyDescent="0.2">
      <c r="C74" s="39"/>
      <c r="D74" s="40"/>
      <c r="E74" s="41"/>
    </row>
    <row r="75" spans="2:8" ht="15" x14ac:dyDescent="0.2">
      <c r="C75" s="42">
        <f>SUM(C70:C74)</f>
        <v>107000</v>
      </c>
      <c r="D75" s="43">
        <f t="shared" ref="D75:E75" si="9">SUM(D70:D74)</f>
        <v>157800</v>
      </c>
      <c r="E75" s="44">
        <f t="shared" si="9"/>
        <v>233600</v>
      </c>
    </row>
    <row r="76" spans="2:8" x14ac:dyDescent="0.2">
      <c r="C76" s="45"/>
      <c r="D76" s="46"/>
      <c r="E76" s="47"/>
    </row>
    <row r="77" spans="2:8" ht="15" x14ac:dyDescent="0.2">
      <c r="C77" s="52">
        <f>SUM(C75:E75)</f>
        <v>498400</v>
      </c>
      <c r="D77" s="53"/>
      <c r="E77" s="54"/>
    </row>
    <row r="78" spans="2:8" x14ac:dyDescent="0.2">
      <c r="C78" s="35"/>
    </row>
  </sheetData>
  <mergeCells count="64">
    <mergeCell ref="E18:F18"/>
    <mergeCell ref="G18:H18"/>
    <mergeCell ref="E19:F19"/>
    <mergeCell ref="B7:C7"/>
    <mergeCell ref="B57:H57"/>
    <mergeCell ref="B58:H58"/>
    <mergeCell ref="D45:F45"/>
    <mergeCell ref="D46:F46"/>
    <mergeCell ref="D47:F47"/>
    <mergeCell ref="B48:H48"/>
    <mergeCell ref="C54:E54"/>
    <mergeCell ref="G7:H7"/>
    <mergeCell ref="D7:F7"/>
    <mergeCell ref="B8:C8"/>
    <mergeCell ref="D8:F8"/>
    <mergeCell ref="G8:H8"/>
    <mergeCell ref="G39:H39"/>
    <mergeCell ref="G40:H40"/>
    <mergeCell ref="C39:D39"/>
    <mergeCell ref="B2:H2"/>
    <mergeCell ref="B3:C3"/>
    <mergeCell ref="B4:C4"/>
    <mergeCell ref="B5:C5"/>
    <mergeCell ref="B6:C6"/>
    <mergeCell ref="G3:H3"/>
    <mergeCell ref="G4:H4"/>
    <mergeCell ref="G5:H5"/>
    <mergeCell ref="G6:H6"/>
    <mergeCell ref="D3:F3"/>
    <mergeCell ref="D4:F4"/>
    <mergeCell ref="D5:F5"/>
    <mergeCell ref="D6:F6"/>
    <mergeCell ref="J43:L43"/>
    <mergeCell ref="D44:F44"/>
    <mergeCell ref="C67:F67"/>
    <mergeCell ref="J34:K34"/>
    <mergeCell ref="J35:K35"/>
    <mergeCell ref="J27:L27"/>
    <mergeCell ref="N27:P27"/>
    <mergeCell ref="C28:E28"/>
    <mergeCell ref="F28:G28"/>
    <mergeCell ref="B33:H33"/>
    <mergeCell ref="B27:H27"/>
    <mergeCell ref="J10:L10"/>
    <mergeCell ref="C11:D11"/>
    <mergeCell ref="E11:F11"/>
    <mergeCell ref="G11:H11"/>
    <mergeCell ref="B17:H17"/>
    <mergeCell ref="C77:E77"/>
    <mergeCell ref="G19:H19"/>
    <mergeCell ref="E20:F20"/>
    <mergeCell ref="G20:H20"/>
    <mergeCell ref="B10:H10"/>
    <mergeCell ref="C55:E55"/>
    <mergeCell ref="C40:D40"/>
    <mergeCell ref="C41:G41"/>
    <mergeCell ref="B43:H43"/>
    <mergeCell ref="C25:H25"/>
    <mergeCell ref="E21:F21"/>
    <mergeCell ref="G21:H21"/>
    <mergeCell ref="E22:F22"/>
    <mergeCell ref="G22:H22"/>
    <mergeCell ref="C23:H23"/>
    <mergeCell ref="C24:H24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12</vt:i4>
      </vt:variant>
    </vt:vector>
  </HeadingPairs>
  <TitlesOfParts>
    <vt:vector size="13" baseType="lpstr">
      <vt:lpstr>Model</vt:lpstr>
      <vt:lpstr>מס_כנסים_מקומיים</vt:lpstr>
      <vt:lpstr>מס_משתתפים_בכנס_בניל</vt:lpstr>
      <vt:lpstr>סהכ_מנהיגים_בסיור_בארץ</vt:lpstr>
      <vt:lpstr>סהכ_עלות_הסיורים</vt:lpstr>
      <vt:lpstr>סהכ_עלות_כנסים</vt:lpstr>
      <vt:lpstr>סהכ_פיתוח_תוכן_והכשרות</vt:lpstr>
      <vt:lpstr>סהכ_קהילות</vt:lpstr>
      <vt:lpstr>עלות_כנס_בינל_לאדם</vt:lpstr>
      <vt:lpstr>עלות_כנס_מקומי</vt:lpstr>
      <vt:lpstr>עלות_סיור_בארץ_לאדם</vt:lpstr>
      <vt:lpstr>עלות_קהילה</vt:lpstr>
      <vt:lpstr>עלות_קהילות_ל3_שנים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מרגריטה ספיצ'קו</cp:lastModifiedBy>
  <dcterms:created xsi:type="dcterms:W3CDTF">2017-02-22T06:47:21Z</dcterms:created>
  <dcterms:modified xsi:type="dcterms:W3CDTF">2017-03-13T08:33:19Z</dcterms:modified>
</cp:coreProperties>
</file>